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6392" windowHeight="6444" tabRatio="684"/>
  </bookViews>
  <sheets>
    <sheet name="Лист1" sheetId="17" r:id="rId1"/>
  </sheets>
  <calcPr calcId="145621"/>
</workbook>
</file>

<file path=xl/calcChain.xml><?xml version="1.0" encoding="utf-8"?>
<calcChain xmlns="http://schemas.openxmlformats.org/spreadsheetml/2006/main">
  <c r="B16" i="17" l="1"/>
  <c r="B39" i="17"/>
  <c r="B43" i="17"/>
  <c r="B32" i="17"/>
  <c r="B20" i="17"/>
  <c r="B7" i="17"/>
  <c r="B6" i="17"/>
  <c r="B8" i="17"/>
  <c r="C84" i="17" l="1"/>
  <c r="B86" i="17" s="1"/>
  <c r="C71" i="17"/>
  <c r="C72" i="17" s="1"/>
  <c r="C70" i="17"/>
  <c r="C62" i="17"/>
  <c r="C58" i="17"/>
  <c r="C56" i="17"/>
  <c r="C54" i="17"/>
  <c r="C49" i="17"/>
  <c r="C43" i="17"/>
  <c r="B42" i="17"/>
  <c r="C42" i="17" s="1"/>
  <c r="B41" i="17"/>
  <c r="C41" i="17" s="1"/>
  <c r="B40" i="17"/>
  <c r="C40" i="17" s="1"/>
  <c r="B38" i="17"/>
  <c r="C38" i="17" s="1"/>
  <c r="B19" i="17"/>
  <c r="B18" i="17"/>
  <c r="B17" i="17"/>
  <c r="B15" i="17"/>
  <c r="B28" i="17"/>
  <c r="B27" i="17" s="1"/>
  <c r="C27" i="17" s="1"/>
  <c r="C32" i="17"/>
  <c r="B31" i="17"/>
  <c r="C31" i="17" s="1"/>
  <c r="B30" i="17"/>
  <c r="C30" i="17" s="1"/>
  <c r="B29" i="17"/>
  <c r="C29" i="17" s="1"/>
  <c r="C8" i="17"/>
  <c r="C7" i="17"/>
  <c r="C6" i="17"/>
  <c r="B4" i="17"/>
  <c r="C4" i="17" s="1"/>
  <c r="B5" i="17"/>
  <c r="C5" i="17" s="1"/>
  <c r="C28" i="17" l="1"/>
  <c r="C39" i="17"/>
  <c r="C44" i="17" s="1"/>
  <c r="C63" i="17"/>
  <c r="B65" i="17" s="1"/>
  <c r="C21" i="17"/>
  <c r="B23" i="17" s="1"/>
  <c r="B50" i="17"/>
  <c r="B51" i="17"/>
  <c r="B3" i="17"/>
  <c r="C3" i="17" s="1"/>
  <c r="C9" i="17" s="1"/>
  <c r="B74" i="17"/>
  <c r="B73" i="17"/>
  <c r="B85" i="17"/>
  <c r="C33" i="17"/>
  <c r="B64" i="17" l="1"/>
  <c r="B22" i="17"/>
  <c r="C86" i="17"/>
  <c r="B88" i="17" s="1"/>
  <c r="B10" i="17"/>
  <c r="B11" i="17"/>
  <c r="B46" i="17"/>
  <c r="B45" i="17"/>
  <c r="B34" i="17"/>
  <c r="B35" i="17"/>
  <c r="B91" i="17" l="1"/>
  <c r="C94" i="17"/>
  <c r="B95" i="17" s="1"/>
  <c r="C90" i="17"/>
  <c r="B93" i="17" s="1"/>
  <c r="C92" i="17"/>
  <c r="B94" i="17" s="1"/>
  <c r="B92" i="17"/>
</calcChain>
</file>

<file path=xl/sharedStrings.xml><?xml version="1.0" encoding="utf-8"?>
<sst xmlns="http://schemas.openxmlformats.org/spreadsheetml/2006/main" count="95" uniqueCount="59">
  <si>
    <t>оклад</t>
  </si>
  <si>
    <t>расчет бюджета з.п. сторожей</t>
  </si>
  <si>
    <t>ПФР 22%</t>
  </si>
  <si>
    <t>НДФЛ 13%</t>
  </si>
  <si>
    <t>ФФОМС 5,1%</t>
  </si>
  <si>
    <t>ФСС 2,9%</t>
  </si>
  <si>
    <t>на руки в месяц</t>
  </si>
  <si>
    <t xml:space="preserve"> 2 ставки на 12 месяцев</t>
  </si>
  <si>
    <t>320 участков</t>
  </si>
  <si>
    <t>360 участков</t>
  </si>
  <si>
    <t>расчет бюджета з.п. председателя</t>
  </si>
  <si>
    <t>оклад за час</t>
  </si>
  <si>
    <t>1 ставка за  май17-апр18</t>
  </si>
  <si>
    <t>на руки за час</t>
  </si>
  <si>
    <t>расчет бюджета з.п. кассиров</t>
  </si>
  <si>
    <t>2 ставки за  май17-апр18</t>
  </si>
  <si>
    <t>расчет сделан по 1 дневной работе 4 часа в день 328 ч\г</t>
  </si>
  <si>
    <t>расчет сделан по 6 дневной работе 4 часа в день 1228 ч\г</t>
  </si>
  <si>
    <t>на руки за 1228 час</t>
  </si>
  <si>
    <t xml:space="preserve"> 1 ставка на 12 месяцев</t>
  </si>
  <si>
    <t>расчет бюджета з.п. дворника</t>
  </si>
  <si>
    <t>бюджет бухгалтерский договор</t>
  </si>
  <si>
    <t>в месяц</t>
  </si>
  <si>
    <t>год</t>
  </si>
  <si>
    <t>всего</t>
  </si>
  <si>
    <t>бюджет банковское обслуживание</t>
  </si>
  <si>
    <t>ежемесячно</t>
  </si>
  <si>
    <t>месяцев</t>
  </si>
  <si>
    <t>платежка  40 рублей</t>
  </si>
  <si>
    <t xml:space="preserve">перевод з.п. в зимние месяцы от суммы </t>
  </si>
  <si>
    <t>карточка подписей раз в год</t>
  </si>
  <si>
    <t>450 рублей</t>
  </si>
  <si>
    <t>внесение на счет наличных средств</t>
  </si>
  <si>
    <t>0,4% от суммы</t>
  </si>
  <si>
    <t>бюджет мусор</t>
  </si>
  <si>
    <t>период апрель-октябрь</t>
  </si>
  <si>
    <t>ставка</t>
  </si>
  <si>
    <t>кубов в неделю</t>
  </si>
  <si>
    <t>недель</t>
  </si>
  <si>
    <t>Экран</t>
  </si>
  <si>
    <t>холостой ход</t>
  </si>
  <si>
    <t>освещение</t>
  </si>
  <si>
    <t>итоги:</t>
  </si>
  <si>
    <t>расчистка дорог\дрова</t>
  </si>
  <si>
    <t>ремонт дорог</t>
  </si>
  <si>
    <t>канцелярия+почта</t>
  </si>
  <si>
    <t>обслуживание водокачек и ремонт</t>
  </si>
  <si>
    <t>несч.сл. 2,1%</t>
  </si>
  <si>
    <t>всего собрать:</t>
  </si>
  <si>
    <t>376 участков</t>
  </si>
  <si>
    <t>423 участка</t>
  </si>
  <si>
    <t>возмещение связи/проезда</t>
  </si>
  <si>
    <t xml:space="preserve">423+50 которых не было </t>
  </si>
  <si>
    <t>непр.расх.(налог, штраф,окос,опил)</t>
  </si>
  <si>
    <t xml:space="preserve">обслуживание/ремонт трансформаторов </t>
  </si>
  <si>
    <t>платежей в месяц?</t>
  </si>
  <si>
    <t>423 уч. (собр 10.06.</t>
  </si>
  <si>
    <t>376 уч.( данные обходов)</t>
  </si>
  <si>
    <t>423 + 50 (минимум ,тех кто точно не был на собрании 10.06.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</si>
</sst>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0" xfId="0" applyNumberFormat="1"/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4" fontId="0" fillId="0" borderId="0" xfId="0" applyNumberFormat="1" applyBorder="1"/>
    <xf numFmtId="4" fontId="3" fillId="0" borderId="0" xfId="0" applyNumberFormat="1" applyFont="1"/>
    <xf numFmtId="4" fontId="1" fillId="0" borderId="0" xfId="0" applyNumberFormat="1" applyFont="1"/>
    <xf numFmtId="4" fontId="4" fillId="0" borderId="1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0" xfId="0" applyNumberFormat="1" applyFont="1" applyBorder="1"/>
    <xf numFmtId="4" fontId="3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10" fontId="0" fillId="0" borderId="0" xfId="0" applyNumberFormat="1"/>
    <xf numFmtId="4" fontId="1" fillId="0" borderId="1" xfId="0" applyNumberFormat="1" applyFont="1" applyBorder="1"/>
    <xf numFmtId="4" fontId="2" fillId="0" borderId="0" xfId="0" applyNumberFormat="1" applyFont="1"/>
    <xf numFmtId="0" fontId="0" fillId="0" borderId="0" xfId="0" applyAlignment="1"/>
    <xf numFmtId="0" fontId="0" fillId="3" borderId="0" xfId="0" applyFill="1" applyAlignment="1"/>
    <xf numFmtId="0" fontId="5" fillId="0" borderId="0" xfId="0" applyFont="1"/>
    <xf numFmtId="4" fontId="7" fillId="0" borderId="0" xfId="0" applyNumberFormat="1" applyFont="1"/>
    <xf numFmtId="0" fontId="5" fillId="3" borderId="0" xfId="0" applyFont="1" applyFill="1"/>
    <xf numFmtId="4" fontId="5" fillId="3" borderId="0" xfId="0" applyNumberFormat="1" applyFont="1" applyFill="1"/>
    <xf numFmtId="4" fontId="5" fillId="0" borderId="0" xfId="0" applyNumberFormat="1" applyFont="1"/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abSelected="1" zoomScale="130" zoomScaleNormal="130" workbookViewId="0">
      <selection activeCell="C99" sqref="C99"/>
    </sheetView>
  </sheetViews>
  <sheetFormatPr defaultRowHeight="14.4" x14ac:dyDescent="0.3"/>
  <cols>
    <col min="1" max="1" width="17.6640625" bestFit="1" customWidth="1"/>
    <col min="2" max="2" width="15" customWidth="1"/>
    <col min="3" max="3" width="23" customWidth="1"/>
    <col min="5" max="5" width="6.33203125" customWidth="1"/>
  </cols>
  <sheetData>
    <row r="1" spans="1:5" x14ac:dyDescent="0.3">
      <c r="A1" s="34" t="s">
        <v>1</v>
      </c>
      <c r="B1" s="34"/>
      <c r="C1" s="34"/>
      <c r="D1" s="21"/>
      <c r="E1" s="21"/>
    </row>
    <row r="2" spans="1:5" x14ac:dyDescent="0.3">
      <c r="A2" s="7" t="s">
        <v>0</v>
      </c>
      <c r="B2" s="12">
        <v>17250</v>
      </c>
      <c r="C2" s="4" t="s">
        <v>7</v>
      </c>
      <c r="D2" s="4"/>
    </row>
    <row r="3" spans="1:5" x14ac:dyDescent="0.3">
      <c r="A3" s="1" t="s">
        <v>6</v>
      </c>
      <c r="B3" s="3">
        <f>B2-B4</f>
        <v>15007</v>
      </c>
      <c r="C3" s="3">
        <f>B3*2*12</f>
        <v>360168</v>
      </c>
      <c r="D3" s="4"/>
    </row>
    <row r="4" spans="1:5" x14ac:dyDescent="0.3">
      <c r="A4" s="1" t="s">
        <v>3</v>
      </c>
      <c r="B4" s="3">
        <f>B2*13%+0.5</f>
        <v>2243</v>
      </c>
      <c r="C4" s="3">
        <f t="shared" ref="C4:C8" si="0">B4*2*12</f>
        <v>53832</v>
      </c>
      <c r="D4" s="4"/>
      <c r="E4" s="4"/>
    </row>
    <row r="5" spans="1:5" x14ac:dyDescent="0.3">
      <c r="A5" s="1" t="s">
        <v>2</v>
      </c>
      <c r="B5" s="3">
        <f>B2*22%</f>
        <v>3795</v>
      </c>
      <c r="C5" s="3">
        <f t="shared" si="0"/>
        <v>91080</v>
      </c>
      <c r="D5" s="4"/>
    </row>
    <row r="6" spans="1:5" x14ac:dyDescent="0.3">
      <c r="A6" s="1" t="s">
        <v>4</v>
      </c>
      <c r="B6" s="3">
        <f>B2*5.1%</f>
        <v>879.75</v>
      </c>
      <c r="C6" s="3">
        <f t="shared" si="0"/>
        <v>21114</v>
      </c>
      <c r="D6" s="4"/>
    </row>
    <row r="7" spans="1:5" x14ac:dyDescent="0.3">
      <c r="A7" s="1" t="s">
        <v>5</v>
      </c>
      <c r="B7" s="3">
        <f>B2*2.9%</f>
        <v>500.24999999999994</v>
      </c>
      <c r="C7" s="3">
        <f t="shared" si="0"/>
        <v>12005.999999999998</v>
      </c>
      <c r="D7" s="4"/>
    </row>
    <row r="8" spans="1:5" x14ac:dyDescent="0.3">
      <c r="A8" s="1" t="s">
        <v>47</v>
      </c>
      <c r="B8" s="3">
        <f>B2*2.1%</f>
        <v>362.25</v>
      </c>
      <c r="C8" s="3">
        <f t="shared" si="0"/>
        <v>8694</v>
      </c>
      <c r="D8" s="4"/>
    </row>
    <row r="9" spans="1:5" ht="18" x14ac:dyDescent="0.35">
      <c r="B9" s="4"/>
      <c r="C9" s="10">
        <f>C3+C4+C5+C6+C7+C8</f>
        <v>546894</v>
      </c>
      <c r="D9" s="4"/>
    </row>
    <row r="10" spans="1:5" ht="15.6" x14ac:dyDescent="0.3">
      <c r="A10" s="2" t="s">
        <v>8</v>
      </c>
      <c r="B10" s="11">
        <f>C9/320</f>
        <v>1709.04375</v>
      </c>
      <c r="C10" s="4"/>
      <c r="D10" s="4"/>
    </row>
    <row r="11" spans="1:5" ht="15.6" x14ac:dyDescent="0.3">
      <c r="A11" s="2" t="s">
        <v>9</v>
      </c>
      <c r="B11" s="11">
        <f>C9/360</f>
        <v>1519.15</v>
      </c>
      <c r="C11" s="4"/>
      <c r="D11" s="4"/>
    </row>
    <row r="12" spans="1:5" x14ac:dyDescent="0.3">
      <c r="A12" s="34" t="s">
        <v>10</v>
      </c>
      <c r="B12" s="34"/>
      <c r="C12" s="34"/>
    </row>
    <row r="13" spans="1:5" x14ac:dyDescent="0.3">
      <c r="A13" t="s">
        <v>11</v>
      </c>
      <c r="B13" s="13">
        <v>81.25</v>
      </c>
      <c r="C13" t="s">
        <v>12</v>
      </c>
    </row>
    <row r="14" spans="1:5" x14ac:dyDescent="0.3">
      <c r="A14" s="35" t="s">
        <v>17</v>
      </c>
      <c r="B14" s="35"/>
      <c r="C14" s="35"/>
    </row>
    <row r="15" spans="1:5" x14ac:dyDescent="0.3">
      <c r="A15" s="1" t="s">
        <v>18</v>
      </c>
      <c r="B15" s="3">
        <f>B13*1228-B16</f>
        <v>86804</v>
      </c>
      <c r="C15" s="3"/>
    </row>
    <row r="16" spans="1:5" x14ac:dyDescent="0.3">
      <c r="A16" s="1" t="s">
        <v>3</v>
      </c>
      <c r="B16" s="3">
        <f>B13*1228*13%+0.25</f>
        <v>12971</v>
      </c>
      <c r="C16" s="3"/>
    </row>
    <row r="17" spans="1:3" x14ac:dyDescent="0.3">
      <c r="A17" s="1" t="s">
        <v>2</v>
      </c>
      <c r="B17" s="3">
        <f>B13*1228*22%</f>
        <v>21950.5</v>
      </c>
      <c r="C17" s="3"/>
    </row>
    <row r="18" spans="1:3" x14ac:dyDescent="0.3">
      <c r="A18" s="1" t="s">
        <v>4</v>
      </c>
      <c r="B18" s="3">
        <f>B13*1228*5.1%</f>
        <v>5088.5249999999996</v>
      </c>
      <c r="C18" s="3"/>
    </row>
    <row r="19" spans="1:3" x14ac:dyDescent="0.3">
      <c r="A19" s="1" t="s">
        <v>5</v>
      </c>
      <c r="B19" s="3">
        <f>B13*1228*2.9%</f>
        <v>2893.4749999999999</v>
      </c>
      <c r="C19" s="3"/>
    </row>
    <row r="20" spans="1:3" x14ac:dyDescent="0.3">
      <c r="A20" s="1" t="s">
        <v>47</v>
      </c>
      <c r="B20" s="3">
        <f>B13*1228*2.1%</f>
        <v>2095.2750000000001</v>
      </c>
      <c r="C20" s="3"/>
    </row>
    <row r="21" spans="1:3" ht="18" x14ac:dyDescent="0.35">
      <c r="A21" s="7"/>
      <c r="B21" s="8"/>
      <c r="C21" s="14">
        <f>B15+B16+B17+B18+B19+B20</f>
        <v>131802.77499999999</v>
      </c>
    </row>
    <row r="22" spans="1:3" ht="15.6" x14ac:dyDescent="0.3">
      <c r="A22" s="2" t="s">
        <v>8</v>
      </c>
      <c r="B22" s="11">
        <f>C21/320</f>
        <v>411.883671875</v>
      </c>
    </row>
    <row r="23" spans="1:3" ht="15.6" x14ac:dyDescent="0.3">
      <c r="A23" s="2" t="s">
        <v>9</v>
      </c>
      <c r="B23" s="11">
        <f>C21/360</f>
        <v>366.11881944444445</v>
      </c>
    </row>
    <row r="24" spans="1:3" x14ac:dyDescent="0.3">
      <c r="A24" s="34" t="s">
        <v>14</v>
      </c>
      <c r="B24" s="34"/>
      <c r="C24" s="34"/>
    </row>
    <row r="25" spans="1:3" x14ac:dyDescent="0.3">
      <c r="A25" t="s">
        <v>11</v>
      </c>
      <c r="B25" s="13">
        <v>81.25</v>
      </c>
      <c r="C25" t="s">
        <v>15</v>
      </c>
    </row>
    <row r="26" spans="1:3" x14ac:dyDescent="0.3">
      <c r="A26" s="36" t="s">
        <v>16</v>
      </c>
      <c r="B26" s="36"/>
      <c r="C26" s="36"/>
    </row>
    <row r="27" spans="1:3" x14ac:dyDescent="0.3">
      <c r="A27" s="1" t="s">
        <v>13</v>
      </c>
      <c r="B27" s="3">
        <f>B25-B28</f>
        <v>70.6875</v>
      </c>
      <c r="C27" s="3">
        <f>B27*164*2</f>
        <v>23185.5</v>
      </c>
    </row>
    <row r="28" spans="1:3" x14ac:dyDescent="0.3">
      <c r="A28" s="1" t="s">
        <v>3</v>
      </c>
      <c r="B28" s="3">
        <f>B25*13%</f>
        <v>10.5625</v>
      </c>
      <c r="C28" s="3">
        <f t="shared" ref="C28:C32" si="1">B28*164*2</f>
        <v>3464.5</v>
      </c>
    </row>
    <row r="29" spans="1:3" x14ac:dyDescent="0.3">
      <c r="A29" s="1" t="s">
        <v>2</v>
      </c>
      <c r="B29" s="3">
        <f>B25*22%</f>
        <v>17.875</v>
      </c>
      <c r="C29" s="3">
        <f t="shared" si="1"/>
        <v>5863</v>
      </c>
    </row>
    <row r="30" spans="1:3" x14ac:dyDescent="0.3">
      <c r="A30" s="1" t="s">
        <v>4</v>
      </c>
      <c r="B30" s="3">
        <f>B25*5.1%</f>
        <v>4.1437499999999998</v>
      </c>
      <c r="C30" s="3">
        <f t="shared" si="1"/>
        <v>1359.1499999999999</v>
      </c>
    </row>
    <row r="31" spans="1:3" x14ac:dyDescent="0.3">
      <c r="A31" s="1" t="s">
        <v>5</v>
      </c>
      <c r="B31" s="3">
        <f>B25*2.9%</f>
        <v>2.3562499999999997</v>
      </c>
      <c r="C31" s="3">
        <f t="shared" si="1"/>
        <v>772.84999999999991</v>
      </c>
    </row>
    <row r="32" spans="1:3" x14ac:dyDescent="0.3">
      <c r="A32" s="1" t="s">
        <v>47</v>
      </c>
      <c r="B32" s="3">
        <f>B25*2.1%</f>
        <v>1.70625</v>
      </c>
      <c r="C32" s="3">
        <f t="shared" si="1"/>
        <v>559.65</v>
      </c>
    </row>
    <row r="33" spans="1:5" ht="18" x14ac:dyDescent="0.35">
      <c r="A33" s="7"/>
      <c r="B33" s="8"/>
      <c r="C33" s="14">
        <f>C27+C28+C29+C30+C31+C32</f>
        <v>35204.65</v>
      </c>
    </row>
    <row r="34" spans="1:5" ht="15.6" x14ac:dyDescent="0.3">
      <c r="A34" s="2" t="s">
        <v>8</v>
      </c>
      <c r="B34" s="11">
        <f>C33/320</f>
        <v>110.01453125</v>
      </c>
    </row>
    <row r="35" spans="1:5" ht="15.6" x14ac:dyDescent="0.3">
      <c r="A35" s="2" t="s">
        <v>9</v>
      </c>
      <c r="B35" s="11">
        <f>C33/360</f>
        <v>97.790694444444455</v>
      </c>
    </row>
    <row r="36" spans="1:5" x14ac:dyDescent="0.3">
      <c r="A36" s="34" t="s">
        <v>20</v>
      </c>
      <c r="B36" s="34"/>
      <c r="C36" s="34"/>
      <c r="D36" s="21"/>
      <c r="E36" s="21"/>
    </row>
    <row r="37" spans="1:5" x14ac:dyDescent="0.3">
      <c r="A37" s="7" t="s">
        <v>0</v>
      </c>
      <c r="B37" s="12">
        <v>8046</v>
      </c>
      <c r="C37" s="19" t="s">
        <v>19</v>
      </c>
      <c r="D37" s="4"/>
    </row>
    <row r="38" spans="1:5" x14ac:dyDescent="0.3">
      <c r="A38" s="1" t="s">
        <v>6</v>
      </c>
      <c r="B38" s="3">
        <f>B37-B39</f>
        <v>7000</v>
      </c>
      <c r="C38" s="3">
        <f>B38*12</f>
        <v>84000</v>
      </c>
      <c r="D38" s="4"/>
    </row>
    <row r="39" spans="1:5" x14ac:dyDescent="0.3">
      <c r="A39" s="1" t="s">
        <v>3</v>
      </c>
      <c r="B39" s="3">
        <f>B37*13%+0.02</f>
        <v>1046</v>
      </c>
      <c r="C39" s="3">
        <f t="shared" ref="C39:C43" si="2">B39*12</f>
        <v>12552</v>
      </c>
      <c r="D39" s="4"/>
      <c r="E39" s="4"/>
    </row>
    <row r="40" spans="1:5" x14ac:dyDescent="0.3">
      <c r="A40" s="1" t="s">
        <v>2</v>
      </c>
      <c r="B40" s="3">
        <f>B37*22%</f>
        <v>1770.1200000000001</v>
      </c>
      <c r="C40" s="3">
        <f t="shared" si="2"/>
        <v>21241.440000000002</v>
      </c>
      <c r="D40" s="4"/>
    </row>
    <row r="41" spans="1:5" x14ac:dyDescent="0.3">
      <c r="A41" s="1" t="s">
        <v>4</v>
      </c>
      <c r="B41" s="3">
        <f>B37*5.1%+0.25</f>
        <v>410.59599999999995</v>
      </c>
      <c r="C41" s="3">
        <f t="shared" si="2"/>
        <v>4927.1519999999991</v>
      </c>
      <c r="D41" s="4"/>
    </row>
    <row r="42" spans="1:5" x14ac:dyDescent="0.3">
      <c r="A42" s="1" t="s">
        <v>5</v>
      </c>
      <c r="B42" s="3">
        <f>B37*2.9%-0.25</f>
        <v>233.08399999999997</v>
      </c>
      <c r="C42" s="3">
        <f t="shared" si="2"/>
        <v>2797.0079999999998</v>
      </c>
      <c r="D42" s="4"/>
    </row>
    <row r="43" spans="1:5" x14ac:dyDescent="0.3">
      <c r="A43" s="1" t="s">
        <v>47</v>
      </c>
      <c r="B43" s="3">
        <f>B37*2.1%</f>
        <v>168.96600000000001</v>
      </c>
      <c r="C43" s="3">
        <f t="shared" si="2"/>
        <v>2027.5920000000001</v>
      </c>
      <c r="D43" s="4"/>
    </row>
    <row r="44" spans="1:5" ht="18" x14ac:dyDescent="0.35">
      <c r="B44" s="4"/>
      <c r="C44" s="10">
        <f>C38+C39+C40+C41+C42+C43</f>
        <v>127545.19200000001</v>
      </c>
      <c r="D44" s="4"/>
    </row>
    <row r="45" spans="1:5" ht="15.6" x14ac:dyDescent="0.3">
      <c r="A45" s="2" t="s">
        <v>8</v>
      </c>
      <c r="B45" s="11">
        <f>C44/320</f>
        <v>398.57872500000002</v>
      </c>
      <c r="C45" s="4"/>
      <c r="D45" s="4"/>
    </row>
    <row r="46" spans="1:5" ht="15.6" x14ac:dyDescent="0.3">
      <c r="A46" s="2" t="s">
        <v>9</v>
      </c>
      <c r="B46" s="11">
        <f>C44/360</f>
        <v>354.29220000000004</v>
      </c>
      <c r="C46" s="4"/>
      <c r="D46" s="4"/>
    </row>
    <row r="47" spans="1:5" x14ac:dyDescent="0.3">
      <c r="A47" s="34" t="s">
        <v>21</v>
      </c>
      <c r="B47" s="34"/>
      <c r="C47" s="34"/>
    </row>
    <row r="48" spans="1:5" x14ac:dyDescent="0.3">
      <c r="A48" t="s">
        <v>22</v>
      </c>
      <c r="B48" t="s">
        <v>23</v>
      </c>
      <c r="C48" t="s">
        <v>24</v>
      </c>
    </row>
    <row r="49" spans="1:3" ht="18" x14ac:dyDescent="0.35">
      <c r="A49" s="5">
        <v>5000</v>
      </c>
      <c r="B49" s="2">
        <v>12</v>
      </c>
      <c r="C49" s="16">
        <f>A49*B49</f>
        <v>60000</v>
      </c>
    </row>
    <row r="50" spans="1:3" ht="15.6" x14ac:dyDescent="0.3">
      <c r="A50" s="2" t="s">
        <v>8</v>
      </c>
      <c r="B50" s="11">
        <f>C49/320</f>
        <v>187.5</v>
      </c>
    </row>
    <row r="51" spans="1:3" ht="15.6" x14ac:dyDescent="0.3">
      <c r="A51" s="2" t="s">
        <v>9</v>
      </c>
      <c r="B51" s="11">
        <f>C49/360</f>
        <v>166.66666666666666</v>
      </c>
    </row>
    <row r="52" spans="1:3" x14ac:dyDescent="0.3">
      <c r="A52" s="34" t="s">
        <v>25</v>
      </c>
      <c r="B52" s="34"/>
      <c r="C52" s="34"/>
    </row>
    <row r="53" spans="1:3" x14ac:dyDescent="0.3">
      <c r="A53" t="s">
        <v>26</v>
      </c>
      <c r="B53" t="s">
        <v>27</v>
      </c>
      <c r="C53" t="s">
        <v>24</v>
      </c>
    </row>
    <row r="54" spans="1:3" x14ac:dyDescent="0.3">
      <c r="A54" s="5">
        <v>2000</v>
      </c>
      <c r="B54" s="2">
        <v>12</v>
      </c>
      <c r="C54" s="15">
        <f>A54*B54</f>
        <v>24000</v>
      </c>
    </row>
    <row r="55" spans="1:3" x14ac:dyDescent="0.3">
      <c r="A55" t="s">
        <v>55</v>
      </c>
      <c r="B55" t="s">
        <v>28</v>
      </c>
    </row>
    <row r="56" spans="1:3" x14ac:dyDescent="0.3">
      <c r="A56" s="5">
        <v>40</v>
      </c>
      <c r="B56" s="2">
        <v>30</v>
      </c>
      <c r="C56" s="15">
        <f>A56*B56</f>
        <v>1200</v>
      </c>
    </row>
    <row r="57" spans="1:3" x14ac:dyDescent="0.3">
      <c r="A57" t="s">
        <v>29</v>
      </c>
      <c r="C57" s="17">
        <v>1.0999999999999999E-2</v>
      </c>
    </row>
    <row r="58" spans="1:3" x14ac:dyDescent="0.3">
      <c r="A58" s="5">
        <v>7500</v>
      </c>
      <c r="B58" s="2">
        <v>8</v>
      </c>
      <c r="C58" s="15">
        <f>A58*C57*B58</f>
        <v>660</v>
      </c>
    </row>
    <row r="59" spans="1:3" x14ac:dyDescent="0.3">
      <c r="A59" t="s">
        <v>30</v>
      </c>
    </row>
    <row r="60" spans="1:3" x14ac:dyDescent="0.3">
      <c r="A60" t="s">
        <v>31</v>
      </c>
      <c r="C60" s="15">
        <v>450</v>
      </c>
    </row>
    <row r="61" spans="1:3" x14ac:dyDescent="0.3">
      <c r="A61" t="s">
        <v>32</v>
      </c>
      <c r="C61" t="s">
        <v>33</v>
      </c>
    </row>
    <row r="62" spans="1:3" x14ac:dyDescent="0.3">
      <c r="A62" s="5">
        <v>100000</v>
      </c>
      <c r="B62" s="5">
        <v>12</v>
      </c>
      <c r="C62" s="15">
        <f>A62*0.4%*B62</f>
        <v>4800</v>
      </c>
    </row>
    <row r="63" spans="1:3" ht="18" x14ac:dyDescent="0.35">
      <c r="C63" s="18">
        <f>C54+C56+C58+C60+C62</f>
        <v>31110</v>
      </c>
    </row>
    <row r="64" spans="1:3" ht="15.6" x14ac:dyDescent="0.3">
      <c r="A64" s="2" t="s">
        <v>8</v>
      </c>
      <c r="B64" s="11">
        <f>C63/320</f>
        <v>97.21875</v>
      </c>
    </row>
    <row r="65" spans="1:3" ht="15.6" x14ac:dyDescent="0.3">
      <c r="A65" s="2" t="s">
        <v>9</v>
      </c>
      <c r="B65" s="11">
        <f>C63/360</f>
        <v>86.416666666666671</v>
      </c>
    </row>
    <row r="66" spans="1:3" x14ac:dyDescent="0.3">
      <c r="A66" s="34" t="s">
        <v>34</v>
      </c>
      <c r="B66" s="34"/>
      <c r="C66" s="34"/>
    </row>
    <row r="67" spans="1:3" x14ac:dyDescent="0.3">
      <c r="A67" s="33" t="s">
        <v>35</v>
      </c>
      <c r="B67" s="33"/>
      <c r="C67" s="33"/>
    </row>
    <row r="68" spans="1:3" x14ac:dyDescent="0.3">
      <c r="A68" s="6" t="s">
        <v>36</v>
      </c>
      <c r="B68" t="s">
        <v>37</v>
      </c>
      <c r="C68" s="6" t="s">
        <v>38</v>
      </c>
    </row>
    <row r="69" spans="1:3" x14ac:dyDescent="0.3">
      <c r="A69" s="5">
        <v>323.39</v>
      </c>
      <c r="B69" s="2">
        <v>20</v>
      </c>
      <c r="C69" s="2">
        <v>27</v>
      </c>
    </row>
    <row r="70" spans="1:3" x14ac:dyDescent="0.3">
      <c r="A70" t="s">
        <v>39</v>
      </c>
      <c r="C70" s="9">
        <f>A69*B69*C69</f>
        <v>174630.59999999998</v>
      </c>
    </row>
    <row r="71" spans="1:3" x14ac:dyDescent="0.3">
      <c r="A71" s="5">
        <v>323.39</v>
      </c>
      <c r="B71" s="2">
        <v>30</v>
      </c>
      <c r="C71" s="9">
        <f>A71*B71</f>
        <v>9701.6999999999989</v>
      </c>
    </row>
    <row r="72" spans="1:3" ht="18" x14ac:dyDescent="0.35">
      <c r="C72" s="10">
        <f>C70-C71</f>
        <v>164928.89999999997</v>
      </c>
    </row>
    <row r="73" spans="1:3" ht="15.6" x14ac:dyDescent="0.3">
      <c r="A73" s="2" t="s">
        <v>8</v>
      </c>
      <c r="B73" s="11">
        <f>C72/320</f>
        <v>515.40281249999987</v>
      </c>
    </row>
    <row r="74" spans="1:3" ht="15.6" x14ac:dyDescent="0.3">
      <c r="A74" s="2" t="s">
        <v>9</v>
      </c>
      <c r="B74" s="11">
        <f>C72/360</f>
        <v>458.13583333333321</v>
      </c>
    </row>
    <row r="75" spans="1:3" ht="27" customHeight="1" x14ac:dyDescent="0.3">
      <c r="A75" s="32" t="s">
        <v>54</v>
      </c>
      <c r="B75" s="32"/>
      <c r="C75" s="4">
        <v>150000</v>
      </c>
    </row>
    <row r="76" spans="1:3" x14ac:dyDescent="0.3">
      <c r="A76" t="s">
        <v>40</v>
      </c>
      <c r="C76" s="4">
        <v>120000</v>
      </c>
    </row>
    <row r="77" spans="1:3" x14ac:dyDescent="0.3">
      <c r="A77" t="s">
        <v>41</v>
      </c>
      <c r="B77" s="20"/>
      <c r="C77" s="4">
        <v>50000</v>
      </c>
    </row>
    <row r="78" spans="1:3" x14ac:dyDescent="0.3">
      <c r="A78" t="s">
        <v>43</v>
      </c>
      <c r="C78" s="4">
        <v>60000</v>
      </c>
    </row>
    <row r="79" spans="1:3" x14ac:dyDescent="0.3">
      <c r="A79" t="s">
        <v>44</v>
      </c>
      <c r="C79" s="4">
        <v>150000</v>
      </c>
    </row>
    <row r="80" spans="1:3" x14ac:dyDescent="0.3">
      <c r="A80" t="s">
        <v>45</v>
      </c>
      <c r="C80" s="4">
        <v>24000</v>
      </c>
    </row>
    <row r="81" spans="1:3" x14ac:dyDescent="0.3">
      <c r="A81" t="s">
        <v>46</v>
      </c>
      <c r="C81" s="4">
        <v>100000</v>
      </c>
    </row>
    <row r="82" spans="1:3" x14ac:dyDescent="0.3">
      <c r="A82" t="s">
        <v>53</v>
      </c>
      <c r="C82" s="4">
        <v>50000</v>
      </c>
    </row>
    <row r="83" spans="1:3" x14ac:dyDescent="0.3">
      <c r="A83" t="s">
        <v>51</v>
      </c>
      <c r="C83" s="4">
        <v>10000</v>
      </c>
    </row>
    <row r="84" spans="1:3" ht="18" x14ac:dyDescent="0.35">
      <c r="C84" s="10">
        <f>SUM(C75:C83)</f>
        <v>714000</v>
      </c>
    </row>
    <row r="85" spans="1:3" ht="15.6" x14ac:dyDescent="0.3">
      <c r="A85" s="2" t="s">
        <v>8</v>
      </c>
      <c r="B85" s="11">
        <f>C84/320</f>
        <v>2231.25</v>
      </c>
      <c r="C85" s="22" t="s">
        <v>48</v>
      </c>
    </row>
    <row r="86" spans="1:3" ht="18" x14ac:dyDescent="0.35">
      <c r="A86" s="2" t="s">
        <v>9</v>
      </c>
      <c r="B86" s="11">
        <f>C84/360</f>
        <v>1983.3333333333333</v>
      </c>
      <c r="C86" s="23">
        <f>C9+C21+C33+C44+C49+C63+C72+C84</f>
        <v>1811485.517</v>
      </c>
    </row>
    <row r="88" spans="1:3" ht="18" x14ac:dyDescent="0.35">
      <c r="A88" t="s">
        <v>48</v>
      </c>
      <c r="B88" s="10">
        <f>C86</f>
        <v>1811485.517</v>
      </c>
      <c r="C88" s="4"/>
    </row>
    <row r="89" spans="1:3" x14ac:dyDescent="0.3">
      <c r="C89" s="24" t="s">
        <v>49</v>
      </c>
    </row>
    <row r="90" spans="1:3" x14ac:dyDescent="0.3">
      <c r="A90" t="s">
        <v>42</v>
      </c>
      <c r="C90" s="25">
        <f>C86/376</f>
        <v>4817.7806303191492</v>
      </c>
    </row>
    <row r="91" spans="1:3" ht="15.6" x14ac:dyDescent="0.3">
      <c r="A91" s="30" t="s">
        <v>8</v>
      </c>
      <c r="B91" s="28">
        <f>B10+B22+B34+B45+B50+B64+B73+B85</f>
        <v>5660.8922406250003</v>
      </c>
      <c r="C91" s="22" t="s">
        <v>50</v>
      </c>
    </row>
    <row r="92" spans="1:3" ht="15.6" x14ac:dyDescent="0.3">
      <c r="A92" s="30" t="s">
        <v>9</v>
      </c>
      <c r="B92" s="28">
        <f>B11+B23+B35+B46+B51+B65+B74+B86</f>
        <v>5031.9042138888881</v>
      </c>
      <c r="C92" s="26">
        <f>C86/423</f>
        <v>4282.4716713947992</v>
      </c>
    </row>
    <row r="93" spans="1:3" ht="30" customHeight="1" x14ac:dyDescent="0.3">
      <c r="A93" s="27" t="s">
        <v>57</v>
      </c>
      <c r="B93" s="28">
        <f>C90</f>
        <v>4817.7806303191492</v>
      </c>
      <c r="C93" s="22" t="s">
        <v>52</v>
      </c>
    </row>
    <row r="94" spans="1:3" ht="15.6" x14ac:dyDescent="0.3">
      <c r="A94" s="29" t="s">
        <v>56</v>
      </c>
      <c r="B94" s="28">
        <f>C92</f>
        <v>4282.4716713947992</v>
      </c>
      <c r="C94" s="26">
        <f>C86/473</f>
        <v>3829.7791057082454</v>
      </c>
    </row>
    <row r="95" spans="1:3" ht="78" x14ac:dyDescent="0.3">
      <c r="A95" s="27" t="s">
        <v>58</v>
      </c>
      <c r="B95" s="31">
        <f>C94</f>
        <v>3829.7791057082454</v>
      </c>
    </row>
  </sheetData>
  <mergeCells count="11">
    <mergeCell ref="A1:C1"/>
    <mergeCell ref="A36:C36"/>
    <mergeCell ref="A75:B75"/>
    <mergeCell ref="A67:C67"/>
    <mergeCell ref="A12:C12"/>
    <mergeCell ref="A14:C14"/>
    <mergeCell ref="A24:C24"/>
    <mergeCell ref="A26:C26"/>
    <mergeCell ref="A47:C47"/>
    <mergeCell ref="A52:C52"/>
    <mergeCell ref="A66:C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2017-07-17T03:11:56Z</dcterms:modified>
</cp:coreProperties>
</file>